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G\projects\humboldt_bay_vertical_control\DATA\survey_data\mad_river_slough_20160801\"/>
    </mc:Choice>
  </mc:AlternateContent>
  <bookViews>
    <workbookView xWindow="0" yWindow="0" windowWidth="13515" windowHeight="9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B39" i="1"/>
  <c r="C38" i="1"/>
  <c r="B38" i="1"/>
  <c r="C37" i="1"/>
  <c r="B37" i="1"/>
  <c r="E34" i="1"/>
  <c r="B34" i="1"/>
  <c r="B33" i="1"/>
  <c r="B31" i="1"/>
  <c r="I29" i="1"/>
  <c r="F29" i="1"/>
  <c r="C29" i="1"/>
  <c r="I28" i="1"/>
  <c r="F28" i="1"/>
  <c r="C28" i="1"/>
  <c r="I27" i="1"/>
  <c r="F27" i="1"/>
  <c r="C27" i="1"/>
  <c r="H24" i="1"/>
  <c r="G24" i="1"/>
  <c r="F24" i="1"/>
  <c r="E24" i="1"/>
  <c r="H23" i="1"/>
  <c r="I23" i="1" s="1"/>
  <c r="G23" i="1"/>
  <c r="F23" i="1"/>
  <c r="E23" i="1"/>
  <c r="H22" i="1"/>
  <c r="I22" i="1" s="1"/>
  <c r="G22" i="1"/>
  <c r="F22" i="1"/>
  <c r="E22" i="1"/>
  <c r="H21" i="1"/>
  <c r="I21" i="1" s="1"/>
  <c r="G21" i="1"/>
  <c r="F21" i="1"/>
  <c r="E21" i="1"/>
  <c r="H20" i="1"/>
  <c r="I20" i="1" s="1"/>
  <c r="G20" i="1"/>
  <c r="F20" i="1"/>
  <c r="E20" i="1"/>
  <c r="H19" i="1"/>
  <c r="I19" i="1" s="1"/>
  <c r="G19" i="1"/>
  <c r="F19" i="1"/>
  <c r="E19" i="1"/>
  <c r="H18" i="1"/>
  <c r="I18" i="1" s="1"/>
  <c r="G18" i="1"/>
  <c r="F18" i="1"/>
  <c r="E18" i="1"/>
  <c r="I17" i="1"/>
  <c r="H17" i="1"/>
  <c r="G17" i="1"/>
  <c r="F17" i="1"/>
  <c r="E17" i="1"/>
  <c r="H16" i="1"/>
  <c r="I16" i="1" s="1"/>
  <c r="G16" i="1"/>
  <c r="F16" i="1"/>
  <c r="E16" i="1"/>
  <c r="H15" i="1"/>
  <c r="I15" i="1" s="1"/>
  <c r="G15" i="1"/>
  <c r="F15" i="1"/>
  <c r="E15" i="1"/>
  <c r="H14" i="1"/>
  <c r="I14" i="1" s="1"/>
  <c r="G14" i="1"/>
  <c r="F14" i="1"/>
  <c r="E14" i="1"/>
  <c r="H13" i="1"/>
  <c r="I13" i="1" s="1"/>
  <c r="G13" i="1"/>
  <c r="F13" i="1"/>
  <c r="E13" i="1"/>
  <c r="H12" i="1"/>
  <c r="I12" i="1" s="1"/>
  <c r="G12" i="1"/>
  <c r="F12" i="1"/>
  <c r="E12" i="1"/>
  <c r="H11" i="1"/>
  <c r="I11" i="1" s="1"/>
  <c r="G11" i="1"/>
  <c r="F11" i="1"/>
  <c r="E11" i="1"/>
  <c r="H10" i="1"/>
  <c r="I10" i="1" s="1"/>
  <c r="G10" i="1"/>
  <c r="F10" i="1"/>
  <c r="E10" i="1"/>
  <c r="I9" i="1"/>
  <c r="H9" i="1"/>
  <c r="G9" i="1"/>
  <c r="F9" i="1"/>
  <c r="E9" i="1"/>
  <c r="H8" i="1"/>
  <c r="I8" i="1" s="1"/>
  <c r="G8" i="1"/>
  <c r="F8" i="1"/>
  <c r="E8" i="1"/>
  <c r="G7" i="1"/>
</calcChain>
</file>

<file path=xl/sharedStrings.xml><?xml version="1.0" encoding="utf-8"?>
<sst xmlns="http://schemas.openxmlformats.org/spreadsheetml/2006/main" count="59" uniqueCount="57">
  <si>
    <t>Project:</t>
  </si>
  <si>
    <t>MRS0801</t>
  </si>
  <si>
    <t>Date:</t>
  </si>
  <si>
    <t>1-August-2016</t>
  </si>
  <si>
    <t>Line:</t>
  </si>
  <si>
    <t>MRS1</t>
  </si>
  <si>
    <t>Surveyor:</t>
  </si>
  <si>
    <t>Jason R. Patton</t>
  </si>
  <si>
    <t>NAME</t>
  </si>
  <si>
    <t>B/S</t>
  </si>
  <si>
    <t>I/S</t>
  </si>
  <si>
    <t>F/S</t>
  </si>
  <si>
    <t>RISE</t>
  </si>
  <si>
    <t>FALL</t>
  </si>
  <si>
    <t>R/L</t>
  </si>
  <si>
    <t>CORRN</t>
  </si>
  <si>
    <t>FINAL</t>
  </si>
  <si>
    <t>DESC</t>
  </si>
  <si>
    <t>BM01</t>
  </si>
  <si>
    <t>TP01</t>
  </si>
  <si>
    <t>TP02</t>
  </si>
  <si>
    <t>TP03</t>
  </si>
  <si>
    <t>TP04</t>
  </si>
  <si>
    <t>TP05</t>
  </si>
  <si>
    <t>TP07</t>
  </si>
  <si>
    <t>TP08</t>
  </si>
  <si>
    <t>IS01</t>
  </si>
  <si>
    <t>IS02</t>
  </si>
  <si>
    <t>IS03</t>
  </si>
  <si>
    <t>IS04</t>
  </si>
  <si>
    <t>TP09</t>
  </si>
  <si>
    <t>IS05</t>
  </si>
  <si>
    <t>IS06</t>
  </si>
  <si>
    <t>TP10</t>
  </si>
  <si>
    <t>TP11</t>
  </si>
  <si>
    <t>---------------------------------------------------------------------------------------------------------------------------------------------------------------</t>
  </si>
  <si>
    <t>CHECKS:</t>
  </si>
  <si>
    <t>Total B/S</t>
  </si>
  <si>
    <t>Total Rise</t>
  </si>
  <si>
    <t>Start Ht</t>
  </si>
  <si>
    <t>Total F/S</t>
  </si>
  <si>
    <t>Total Fall</t>
  </si>
  <si>
    <t>R/L Ht</t>
  </si>
  <si>
    <t>RESULT:</t>
  </si>
  <si>
    <t>================================================================================</t>
  </si>
  <si>
    <t>Miscl:</t>
  </si>
  <si>
    <t>Stations:</t>
  </si>
  <si>
    <t>B/S Dist:</t>
  </si>
  <si>
    <t>Dist (km):</t>
  </si>
  <si>
    <t>Corrn:</t>
  </si>
  <si>
    <t>F/S Dist:</t>
  </si>
  <si>
    <t>CLASS</t>
  </si>
  <si>
    <t>LIMIT</t>
  </si>
  <si>
    <t>RESULT</t>
  </si>
  <si>
    <t>Precise:</t>
  </si>
  <si>
    <t>Ordinary</t>
  </si>
  <si>
    <t>TMH11: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</si>
</sst>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pane ySplit="6" topLeftCell="A19" activePane="bottomLeft" state="frozen"/>
      <selection pane="bottomLeft" activeCell="A40" sqref="A40"/>
    </sheetView>
  </sheetViews>
  <sheetFormatPr defaultRowHeight="15" x14ac:dyDescent="0.25"/>
  <cols>
    <col min="1" max="1" width="11.7109375" customWidth="1"/>
  </cols>
  <sheetData>
    <row r="1" spans="1:10" x14ac:dyDescent="0.25">
      <c r="A1" s="1" t="s">
        <v>0</v>
      </c>
      <c r="B1" s="1" t="s">
        <v>1</v>
      </c>
    </row>
    <row r="2" spans="1:10" x14ac:dyDescent="0.25">
      <c r="A2" s="1" t="s">
        <v>2</v>
      </c>
      <c r="B2" s="1" t="s">
        <v>3</v>
      </c>
    </row>
    <row r="3" spans="1:10" x14ac:dyDescent="0.25">
      <c r="A3" s="1" t="s">
        <v>4</v>
      </c>
      <c r="B3" s="1" t="s">
        <v>5</v>
      </c>
    </row>
    <row r="4" spans="1:10" x14ac:dyDescent="0.25">
      <c r="A4" s="1" t="s">
        <v>6</v>
      </c>
      <c r="B4" s="1" t="s">
        <v>7</v>
      </c>
    </row>
    <row r="6" spans="1:10" x14ac:dyDescent="0.25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 t="s">
        <v>14</v>
      </c>
      <c r="H6" t="s">
        <v>15</v>
      </c>
      <c r="I6" t="s">
        <v>16</v>
      </c>
      <c r="J6" t="s">
        <v>17</v>
      </c>
    </row>
    <row r="7" spans="1:10" x14ac:dyDescent="0.25">
      <c r="A7" t="s">
        <v>18</v>
      </c>
      <c r="B7">
        <v>1.95475</v>
      </c>
      <c r="G7">
        <f>I7</f>
        <v>100</v>
      </c>
      <c r="I7">
        <v>100</v>
      </c>
    </row>
    <row r="8" spans="1:10" x14ac:dyDescent="0.25">
      <c r="A8" t="s">
        <v>19</v>
      </c>
      <c r="B8">
        <v>1.5242</v>
      </c>
      <c r="D8">
        <v>1.3683799999999999</v>
      </c>
      <c r="E8">
        <f>IF(IF($B7&lt;&gt;"",$B7-IF($D8&lt;&gt;"",$D8,$C8),$C7-IF($D8&lt;&gt;"",$D8,$C8))&gt;=0,IF($B7&lt;&gt;"",$B7-IF($D8&lt;&gt;"",$D8,$C8),$C7-IF($D8&lt;&gt;"",$D8,$C8)),"")</f>
        <v>0.58637000000000006</v>
      </c>
      <c r="F8" t="str">
        <f>IF(IF($B7&lt;&gt;"",$B7-IF($D8&lt;&gt;"",$D8,$C8),$C7-IF($D8&lt;&gt;"",$D8,$C8))&lt;0,-(IF($B7&lt;&gt;"",$B7-IF($D8&lt;&gt;"",$D8,$C8),$C7-IF($D8&lt;&gt;"",$D8,$C8))),"")</f>
        <v/>
      </c>
      <c r="G8">
        <f>G7+IF(E8&lt;&gt;"",E8,-F8)</f>
        <v>100.58637</v>
      </c>
      <c r="H8">
        <f>$E$34*2</f>
        <v>-2.1018181818179341E-2</v>
      </c>
      <c r="I8">
        <f>G8+H8</f>
        <v>100.56535181818182</v>
      </c>
    </row>
    <row r="9" spans="1:10" x14ac:dyDescent="0.25">
      <c r="A9" t="s">
        <v>20</v>
      </c>
      <c r="B9">
        <v>0.71658999999999995</v>
      </c>
      <c r="D9">
        <v>1.7782500000000001</v>
      </c>
      <c r="E9" t="str">
        <f>IF(IF($B8&lt;&gt;"",$B8-IF($D9&lt;&gt;"",$D9,$C9),$C8-IF($D9&lt;&gt;"",$D9,$C9))&gt;=0,IF($B8&lt;&gt;"",$B8-IF($D9&lt;&gt;"",$D9,$C9),$C8-IF($D9&lt;&gt;"",$D9,$C9)),"")</f>
        <v/>
      </c>
      <c r="F9">
        <f>IF(IF($B8&lt;&gt;"",$B8-IF($D9&lt;&gt;"",$D9,$C9),$C8-IF($D9&lt;&gt;"",$D9,$C9))&lt;0,-(IF($B8&lt;&gt;"",$B8-IF($D9&lt;&gt;"",$D9,$C9),$C8-IF($D9&lt;&gt;"",$D9,$C9))),"")</f>
        <v>0.25405000000000011</v>
      </c>
      <c r="G9">
        <f>G8+IF(E9&lt;&gt;"",E9,-F9)</f>
        <v>100.33232</v>
      </c>
      <c r="H9">
        <f>$E$34*3</f>
        <v>-3.1527272727269011E-2</v>
      </c>
      <c r="I9">
        <f>G9+H9</f>
        <v>100.30079272727272</v>
      </c>
    </row>
    <row r="10" spans="1:10" x14ac:dyDescent="0.25">
      <c r="A10" t="s">
        <v>21</v>
      </c>
      <c r="B10">
        <v>5.4199999999999998E-2</v>
      </c>
      <c r="D10">
        <v>2.8025199999999999</v>
      </c>
      <c r="E10" t="str">
        <f>IF(IF($B9&lt;&gt;"",$B9-IF($D10&lt;&gt;"",$D10,$C10),$C9-IF($D10&lt;&gt;"",$D10,$C10))&gt;=0,IF($B9&lt;&gt;"",$B9-IF($D10&lt;&gt;"",$D10,$C10),$C9-IF($D10&lt;&gt;"",$D10,$C10)),"")</f>
        <v/>
      </c>
      <c r="F10">
        <f>IF(IF($B9&lt;&gt;"",$B9-IF($D10&lt;&gt;"",$D10,$C10),$C9-IF($D10&lt;&gt;"",$D10,$C10))&lt;0,-(IF($B9&lt;&gt;"",$B9-IF($D10&lt;&gt;"",$D10,$C10),$C9-IF($D10&lt;&gt;"",$D10,$C10))),"")</f>
        <v>2.0859299999999998</v>
      </c>
      <c r="G10">
        <f>G9+IF(E10&lt;&gt;"",E10,-F10)</f>
        <v>98.246389999999991</v>
      </c>
      <c r="H10">
        <f>$E$34*4</f>
        <v>-4.2036363636358681E-2</v>
      </c>
      <c r="I10">
        <f>G10+H10</f>
        <v>98.204353636363635</v>
      </c>
    </row>
    <row r="11" spans="1:10" x14ac:dyDescent="0.25">
      <c r="A11" t="s">
        <v>22</v>
      </c>
      <c r="B11">
        <v>1.01997</v>
      </c>
      <c r="D11">
        <v>1.4729099999999999</v>
      </c>
      <c r="E11" t="str">
        <f>IF(IF($B10&lt;&gt;"",$B10-IF($D11&lt;&gt;"",$D11,$C11),$C10-IF($D11&lt;&gt;"",$D11,$C11))&gt;=0,IF($B10&lt;&gt;"",$B10-IF($D11&lt;&gt;"",$D11,$C11),$C10-IF($D11&lt;&gt;"",$D11,$C11)),"")</f>
        <v/>
      </c>
      <c r="F11">
        <f>IF(IF($B10&lt;&gt;"",$B10-IF($D11&lt;&gt;"",$D11,$C11),$C10-IF($D11&lt;&gt;"",$D11,$C11))&lt;0,-(IF($B10&lt;&gt;"",$B10-IF($D11&lt;&gt;"",$D11,$C11),$C10-IF($D11&lt;&gt;"",$D11,$C11))),"")</f>
        <v>1.4187099999999999</v>
      </c>
      <c r="G11">
        <f>G10+IF(E11&lt;&gt;"",E11,-F11)</f>
        <v>96.827679999999987</v>
      </c>
      <c r="H11">
        <f>$E$34*5</f>
        <v>-5.2545454545448352E-2</v>
      </c>
      <c r="I11">
        <f>G11+H11</f>
        <v>96.775134545454534</v>
      </c>
    </row>
    <row r="12" spans="1:10" x14ac:dyDescent="0.25">
      <c r="A12" t="s">
        <v>23</v>
      </c>
      <c r="B12">
        <v>0.91183000000000003</v>
      </c>
      <c r="D12">
        <v>0.91083999999999998</v>
      </c>
      <c r="E12">
        <f>IF(IF($B11&lt;&gt;"",$B11-IF($D12&lt;&gt;"",$D12,$C12),$C11-IF($D12&lt;&gt;"",$D12,$C12))&gt;=0,IF($B11&lt;&gt;"",$B11-IF($D12&lt;&gt;"",$D12,$C12),$C11-IF($D12&lt;&gt;"",$D12,$C12)),"")</f>
        <v>0.10913000000000006</v>
      </c>
      <c r="F12" t="str">
        <f>IF(IF($B11&lt;&gt;"",$B11-IF($D12&lt;&gt;"",$D12,$C12),$C11-IF($D12&lt;&gt;"",$D12,$C12))&lt;0,-(IF($B11&lt;&gt;"",$B11-IF($D12&lt;&gt;"",$D12,$C12),$C11-IF($D12&lt;&gt;"",$D12,$C12))),"")</f>
        <v/>
      </c>
      <c r="G12">
        <f>G11+IF(E12&lt;&gt;"",E12,-F12)</f>
        <v>96.93680999999998</v>
      </c>
      <c r="H12">
        <f>$E$34*6</f>
        <v>-6.3054545454538022E-2</v>
      </c>
      <c r="I12">
        <f>G12+H12</f>
        <v>96.873755454545446</v>
      </c>
    </row>
    <row r="13" spans="1:10" x14ac:dyDescent="0.25">
      <c r="A13" t="s">
        <v>24</v>
      </c>
      <c r="B13">
        <v>1.91812</v>
      </c>
      <c r="D13">
        <v>1.91818</v>
      </c>
      <c r="E13" t="str">
        <f>IF(IF($B12&lt;&gt;"",$B12-IF($D13&lt;&gt;"",$D13,$C13),$C12-IF($D13&lt;&gt;"",$D13,$C13))&gt;=0,IF($B12&lt;&gt;"",$B12-IF($D13&lt;&gt;"",$D13,$C13),$C12-IF($D13&lt;&gt;"",$D13,$C13)),"")</f>
        <v/>
      </c>
      <c r="F13">
        <f>IF(IF($B12&lt;&gt;"",$B12-IF($D13&lt;&gt;"",$D13,$C13),$C12-IF($D13&lt;&gt;"",$D13,$C13))&lt;0,-(IF($B12&lt;&gt;"",$B12-IF($D13&lt;&gt;"",$D13,$C13),$C12-IF($D13&lt;&gt;"",$D13,$C13))),"")</f>
        <v>1.0063499999999999</v>
      </c>
      <c r="G13">
        <f>G12+IF(E13&lt;&gt;"",E13,-F13)</f>
        <v>95.930459999999982</v>
      </c>
      <c r="H13">
        <f>$E$34*7</f>
        <v>-7.3563636363627699E-2</v>
      </c>
      <c r="I13">
        <f>G13+H13</f>
        <v>95.856896363636352</v>
      </c>
    </row>
    <row r="14" spans="1:10" x14ac:dyDescent="0.25">
      <c r="A14" t="s">
        <v>25</v>
      </c>
      <c r="B14">
        <v>1.4624900000000001</v>
      </c>
      <c r="D14">
        <v>0.91044999999999998</v>
      </c>
      <c r="E14">
        <f>IF(IF($B13&lt;&gt;"",$B13-IF($D14&lt;&gt;"",$D14,$C14),$C13-IF($D14&lt;&gt;"",$D14,$C14))&gt;=0,IF($B13&lt;&gt;"",$B13-IF($D14&lt;&gt;"",$D14,$C14),$C13-IF($D14&lt;&gt;"",$D14,$C14)),"")</f>
        <v>1.0076700000000001</v>
      </c>
      <c r="F14" t="str">
        <f>IF(IF($B13&lt;&gt;"",$B13-IF($D14&lt;&gt;"",$D14,$C14),$C13-IF($D14&lt;&gt;"",$D14,$C14))&lt;0,-(IF($B13&lt;&gt;"",$B13-IF($D14&lt;&gt;"",$D14,$C14),$C13-IF($D14&lt;&gt;"",$D14,$C14))),"")</f>
        <v/>
      </c>
      <c r="G14">
        <f>G13+IF(E14&lt;&gt;"",E14,-F14)</f>
        <v>96.938129999999987</v>
      </c>
      <c r="H14">
        <f>$E$34*8</f>
        <v>-8.4072727272717362E-2</v>
      </c>
      <c r="I14">
        <f>G14+H14</f>
        <v>96.854057272727275</v>
      </c>
    </row>
    <row r="15" spans="1:10" x14ac:dyDescent="0.25">
      <c r="A15" t="s">
        <v>26</v>
      </c>
      <c r="C15">
        <v>0.19305</v>
      </c>
      <c r="E15">
        <f>IF(IF($B14&lt;&gt;"",$B14-IF($D15&lt;&gt;"",$D15,$C15),$C14-IF($D15&lt;&gt;"",$D15,$C15))&gt;=0,IF($B14&lt;&gt;"",$B14-IF($D15&lt;&gt;"",$D15,$C15),$C14-IF($D15&lt;&gt;"",$D15,$C15)),"")</f>
        <v>1.2694400000000001</v>
      </c>
      <c r="F15" t="str">
        <f>IF(IF($B14&lt;&gt;"",$B14-IF($D15&lt;&gt;"",$D15,$C15),$C14-IF($D15&lt;&gt;"",$D15,$C15))&lt;0,-(IF($B14&lt;&gt;"",$B14-IF($D15&lt;&gt;"",$D15,$C15),$C14-IF($D15&lt;&gt;"",$D15,$C15))),"")</f>
        <v/>
      </c>
      <c r="G15">
        <f>G14+IF(E15&lt;&gt;"",E15,-F15)</f>
        <v>98.20756999999999</v>
      </c>
      <c r="H15">
        <f>$E$34*8</f>
        <v>-8.4072727272717362E-2</v>
      </c>
      <c r="I15">
        <f>G15+H15</f>
        <v>98.123497272727278</v>
      </c>
    </row>
    <row r="16" spans="1:10" x14ac:dyDescent="0.25">
      <c r="A16" t="s">
        <v>27</v>
      </c>
      <c r="C16">
        <v>9.5079999999999998E-2</v>
      </c>
      <c r="E16">
        <f>IF(IF($B15&lt;&gt;"",$B15-IF($D16&lt;&gt;"",$D16,$C16),$C15-IF($D16&lt;&gt;"",$D16,$C16))&gt;=0,IF($B15&lt;&gt;"",$B15-IF($D16&lt;&gt;"",$D16,$C16),$C15-IF($D16&lt;&gt;"",$D16,$C16)),"")</f>
        <v>9.7970000000000002E-2</v>
      </c>
      <c r="F16" t="str">
        <f>IF(IF($B15&lt;&gt;"",$B15-IF($D16&lt;&gt;"",$D16,$C16),$C15-IF($D16&lt;&gt;"",$D16,$C16))&lt;0,-(IF($B15&lt;&gt;"",$B15-IF($D16&lt;&gt;"",$D16,$C16),$C15-IF($D16&lt;&gt;"",$D16,$C16))),"")</f>
        <v/>
      </c>
      <c r="G16">
        <f>G15+IF(E16&lt;&gt;"",E16,-F16)</f>
        <v>98.305539999999993</v>
      </c>
      <c r="H16">
        <f>$E$34*8</f>
        <v>-8.4072727272717362E-2</v>
      </c>
      <c r="I16">
        <f>G16+H16</f>
        <v>98.221467272727281</v>
      </c>
    </row>
    <row r="17" spans="1:9" x14ac:dyDescent="0.25">
      <c r="A17" t="s">
        <v>28</v>
      </c>
      <c r="C17">
        <v>9.6900000000000007E-3</v>
      </c>
      <c r="E17">
        <f>IF(IF($B16&lt;&gt;"",$B16-IF($D17&lt;&gt;"",$D17,$C17),$C16-IF($D17&lt;&gt;"",$D17,$C17))&gt;=0,IF($B16&lt;&gt;"",$B16-IF($D17&lt;&gt;"",$D17,$C17),$C16-IF($D17&lt;&gt;"",$D17,$C17)),"")</f>
        <v>8.5389999999999994E-2</v>
      </c>
      <c r="F17" t="str">
        <f>IF(IF($B16&lt;&gt;"",$B16-IF($D17&lt;&gt;"",$D17,$C17),$C16-IF($D17&lt;&gt;"",$D17,$C17))&lt;0,-(IF($B16&lt;&gt;"",$B16-IF($D17&lt;&gt;"",$D17,$C17),$C16-IF($D17&lt;&gt;"",$D17,$C17))),"")</f>
        <v/>
      </c>
      <c r="G17">
        <f>G16+IF(E17&lt;&gt;"",E17,-F17)</f>
        <v>98.390929999999997</v>
      </c>
      <c r="H17">
        <f>$E$34*8</f>
        <v>-8.4072727272717362E-2</v>
      </c>
      <c r="I17">
        <f>G17+H17</f>
        <v>98.306857272727285</v>
      </c>
    </row>
    <row r="18" spans="1:9" x14ac:dyDescent="0.25">
      <c r="A18" t="s">
        <v>29</v>
      </c>
      <c r="C18">
        <v>0.37054999999999999</v>
      </c>
      <c r="E18" t="str">
        <f>IF(IF($B17&lt;&gt;"",$B17-IF($D18&lt;&gt;"",$D18,$C18),$C17-IF($D18&lt;&gt;"",$D18,$C18))&gt;=0,IF($B17&lt;&gt;"",$B17-IF($D18&lt;&gt;"",$D18,$C18),$C17-IF($D18&lt;&gt;"",$D18,$C18)),"")</f>
        <v/>
      </c>
      <c r="F18">
        <f>IF(IF($B17&lt;&gt;"",$B17-IF($D18&lt;&gt;"",$D18,$C18),$C17-IF($D18&lt;&gt;"",$D18,$C18))&lt;0,-(IF($B17&lt;&gt;"",$B17-IF($D18&lt;&gt;"",$D18,$C18),$C17-IF($D18&lt;&gt;"",$D18,$C18))),"")</f>
        <v>0.36086000000000001</v>
      </c>
      <c r="G18">
        <f>G17+IF(E18&lt;&gt;"",E18,-F18)</f>
        <v>98.030069999999995</v>
      </c>
      <c r="H18">
        <f>$E$34*8</f>
        <v>-8.4072727272717362E-2</v>
      </c>
      <c r="I18">
        <f>G18+H18</f>
        <v>97.945997272727283</v>
      </c>
    </row>
    <row r="19" spans="1:9" x14ac:dyDescent="0.25">
      <c r="A19" t="s">
        <v>30</v>
      </c>
      <c r="B19">
        <v>2.7872499999999998</v>
      </c>
      <c r="D19">
        <v>4.3279999999999999E-2</v>
      </c>
      <c r="E19">
        <f>IF(IF($B18&lt;&gt;"",$B18-IF($D19&lt;&gt;"",$D19,$C19),$C18-IF($D19&lt;&gt;"",$D19,$C19))&gt;=0,IF($B18&lt;&gt;"",$B18-IF($D19&lt;&gt;"",$D19,$C19),$C18-IF($D19&lt;&gt;"",$D19,$C19)),"")</f>
        <v>0.32727000000000001</v>
      </c>
      <c r="F19" t="str">
        <f>IF(IF($B18&lt;&gt;"",$B18-IF($D19&lt;&gt;"",$D19,$C19),$C18-IF($D19&lt;&gt;"",$D19,$C19))&lt;0,-(IF($B18&lt;&gt;"",$B18-IF($D19&lt;&gt;"",$D19,$C19),$C18-IF($D19&lt;&gt;"",$D19,$C19))),"")</f>
        <v/>
      </c>
      <c r="G19">
        <f>G18+IF(E19&lt;&gt;"",E19,-F19)</f>
        <v>98.357339999999994</v>
      </c>
      <c r="H19">
        <f>$E$34*9</f>
        <v>-9.4581818181807026E-2</v>
      </c>
      <c r="I19">
        <f>G19+H19</f>
        <v>98.262758181818185</v>
      </c>
    </row>
    <row r="20" spans="1:9" x14ac:dyDescent="0.25">
      <c r="A20" t="s">
        <v>31</v>
      </c>
      <c r="C20">
        <v>2.7025199999999998</v>
      </c>
      <c r="E20">
        <f>IF(IF($B19&lt;&gt;"",$B19-IF($D20&lt;&gt;"",$D20,$C20),$C19-IF($D20&lt;&gt;"",$D20,$C20))&gt;=0,IF($B19&lt;&gt;"",$B19-IF($D20&lt;&gt;"",$D20,$C20),$C19-IF($D20&lt;&gt;"",$D20,$C20)),"")</f>
        <v>8.4729999999999972E-2</v>
      </c>
      <c r="F20" t="str">
        <f>IF(IF($B19&lt;&gt;"",$B19-IF($D20&lt;&gt;"",$D20,$C20),$C19-IF($D20&lt;&gt;"",$D20,$C20))&lt;0,-(IF($B19&lt;&gt;"",$B19-IF($D20&lt;&gt;"",$D20,$C20),$C19-IF($D20&lt;&gt;"",$D20,$C20))),"")</f>
        <v/>
      </c>
      <c r="G20">
        <f>G19+IF(E20&lt;&gt;"",E20,-F20)</f>
        <v>98.442069999999987</v>
      </c>
      <c r="H20">
        <f>$E$34*9</f>
        <v>-9.4581818181807026E-2</v>
      </c>
      <c r="I20">
        <f>G20+H20</f>
        <v>98.347488181818179</v>
      </c>
    </row>
    <row r="21" spans="1:9" x14ac:dyDescent="0.25">
      <c r="A21" t="s">
        <v>32</v>
      </c>
      <c r="C21">
        <v>2.6178499999999998</v>
      </c>
      <c r="E21">
        <f>IF(IF($B20&lt;&gt;"",$B20-IF($D21&lt;&gt;"",$D21,$C21),$C20-IF($D21&lt;&gt;"",$D21,$C21))&gt;=0,IF($B20&lt;&gt;"",$B20-IF($D21&lt;&gt;"",$D21,$C21),$C20-IF($D21&lt;&gt;"",$D21,$C21)),"")</f>
        <v>8.4670000000000023E-2</v>
      </c>
      <c r="F21" t="str">
        <f>IF(IF($B20&lt;&gt;"",$B20-IF($D21&lt;&gt;"",$D21,$C21),$C20-IF($D21&lt;&gt;"",$D21,$C21))&lt;0,-(IF($B20&lt;&gt;"",$B20-IF($D21&lt;&gt;"",$D21,$C21),$C20-IF($D21&lt;&gt;"",$D21,$C21))),"")</f>
        <v/>
      </c>
      <c r="G21">
        <f>G20+IF(E21&lt;&gt;"",E21,-F21)</f>
        <v>98.52673999999999</v>
      </c>
      <c r="H21">
        <f>$E$34*9</f>
        <v>-9.4581818181807026E-2</v>
      </c>
      <c r="I21">
        <f>G21+H21</f>
        <v>98.432158181818181</v>
      </c>
    </row>
    <row r="22" spans="1:9" x14ac:dyDescent="0.25">
      <c r="A22" t="s">
        <v>33</v>
      </c>
      <c r="B22">
        <v>1.7334700000000001</v>
      </c>
      <c r="D22">
        <v>0.70187999999999995</v>
      </c>
      <c r="E22">
        <f>IF(IF($B21&lt;&gt;"",$B21-IF($D22&lt;&gt;"",$D22,$C22),$C21-IF($D22&lt;&gt;"",$D22,$C22))&gt;=0,IF($B21&lt;&gt;"",$B21-IF($D22&lt;&gt;"",$D22,$C22),$C21-IF($D22&lt;&gt;"",$D22,$C22)),"")</f>
        <v>1.9159699999999997</v>
      </c>
      <c r="F22" t="str">
        <f>IF(IF($B21&lt;&gt;"",$B21-IF($D22&lt;&gt;"",$D22,$C22),$C21-IF($D22&lt;&gt;"",$D22,$C22))&lt;0,-(IF($B21&lt;&gt;"",$B21-IF($D22&lt;&gt;"",$D22,$C22),$C21-IF($D22&lt;&gt;"",$D22,$C22))),"")</f>
        <v/>
      </c>
      <c r="G22">
        <f>G21+IF(E22&lt;&gt;"",E22,-F22)</f>
        <v>100.44270999999999</v>
      </c>
      <c r="H22">
        <f>$E$34*10</f>
        <v>-0.1050909090908967</v>
      </c>
      <c r="I22">
        <f>G22+H22</f>
        <v>100.3376190909091</v>
      </c>
    </row>
    <row r="23" spans="1:9" x14ac:dyDescent="0.25">
      <c r="A23" t="s">
        <v>34</v>
      </c>
      <c r="B23">
        <v>1.41957</v>
      </c>
      <c r="D23">
        <v>1.4773799999999999</v>
      </c>
      <c r="E23">
        <f>IF(IF($B22&lt;&gt;"",$B22-IF($D23&lt;&gt;"",$D23,$C23),$C22-IF($D23&lt;&gt;"",$D23,$C23))&gt;=0,IF($B22&lt;&gt;"",$B22-IF($D23&lt;&gt;"",$D23,$C23),$C22-IF($D23&lt;&gt;"",$D23,$C23)),"")</f>
        <v>0.25609000000000015</v>
      </c>
      <c r="F23" t="str">
        <f>IF(IF($B22&lt;&gt;"",$B22-IF($D23&lt;&gt;"",$D23,$C23),$C22-IF($D23&lt;&gt;"",$D23,$C23))&lt;0,-(IF($B22&lt;&gt;"",$B22-IF($D23&lt;&gt;"",$D23,$C23),$C22-IF($D23&lt;&gt;"",$D23,$C23))),"")</f>
        <v/>
      </c>
      <c r="G23">
        <f>G22+IF(E23&lt;&gt;"",E23,-F23)</f>
        <v>100.69879999999999</v>
      </c>
      <c r="H23">
        <f>$E$34*11</f>
        <v>-0.11559999999998638</v>
      </c>
      <c r="I23">
        <f>G23+H23</f>
        <v>100.58320000000001</v>
      </c>
    </row>
    <row r="24" spans="1:9" x14ac:dyDescent="0.25">
      <c r="A24" t="s">
        <v>18</v>
      </c>
      <c r="D24">
        <v>2.0027699999999999</v>
      </c>
      <c r="E24" t="str">
        <f>IF(IF($B23&lt;&gt;"",$B23-IF($D24&lt;&gt;"",$D24,$C24),$C23-IF($D24&lt;&gt;"",$D24,$C24))&gt;=0,IF($B23&lt;&gt;"",$B23-IF($D24&lt;&gt;"",$D24,$C24),$C23-IF($D24&lt;&gt;"",$D24,$C24)),"")</f>
        <v/>
      </c>
      <c r="F24">
        <f>IF(IF($B23&lt;&gt;"",$B23-IF($D24&lt;&gt;"",$D24,$C24),$C23-IF($D24&lt;&gt;"",$D24,$C24))&lt;0,-(IF($B23&lt;&gt;"",$B23-IF($D24&lt;&gt;"",$D24,$C24),$C23-IF($D24&lt;&gt;"",$D24,$C24))),"")</f>
        <v>0.58319999999999994</v>
      </c>
      <c r="G24">
        <f>G23+IF(E24&lt;&gt;"",E24,-F24)</f>
        <v>100.11559999999999</v>
      </c>
      <c r="H24">
        <f>$E$34*11</f>
        <v>-0.11559999999998638</v>
      </c>
      <c r="I24">
        <v>100</v>
      </c>
    </row>
    <row r="26" spans="1:9" x14ac:dyDescent="0.25">
      <c r="A26" s="2" t="s">
        <v>35</v>
      </c>
    </row>
    <row r="27" spans="1:9" x14ac:dyDescent="0.25">
      <c r="A27" t="s">
        <v>36</v>
      </c>
      <c r="B27" t="s">
        <v>37</v>
      </c>
      <c r="C27">
        <f>SUM(B6:B24)</f>
        <v>15.502440000000002</v>
      </c>
      <c r="E27" t="s">
        <v>38</v>
      </c>
      <c r="F27">
        <f>SUM(E6:E24)</f>
        <v>5.8247</v>
      </c>
      <c r="H27" t="s">
        <v>39</v>
      </c>
      <c r="I27">
        <f>I7</f>
        <v>100</v>
      </c>
    </row>
    <row r="28" spans="1:9" x14ac:dyDescent="0.25">
      <c r="B28" t="s">
        <v>40</v>
      </c>
      <c r="C28">
        <f>SUM(D6:D24)</f>
        <v>15.386839999999998</v>
      </c>
      <c r="E28" t="s">
        <v>41</v>
      </c>
      <c r="F28">
        <f>SUM(F6:F24)</f>
        <v>5.7090999999999985</v>
      </c>
      <c r="H28" t="s">
        <v>42</v>
      </c>
      <c r="I28">
        <f>G24</f>
        <v>100.11559999999999</v>
      </c>
    </row>
    <row r="29" spans="1:9" x14ac:dyDescent="0.25">
      <c r="C29">
        <f>C27-C28</f>
        <v>0.11560000000000414</v>
      </c>
      <c r="F29">
        <f>F27-F28</f>
        <v>0.11560000000000148</v>
      </c>
      <c r="I29">
        <f>I28-I27</f>
        <v>0.11559999999998638</v>
      </c>
    </row>
    <row r="31" spans="1:9" x14ac:dyDescent="0.25">
      <c r="A31" t="s">
        <v>43</v>
      </c>
      <c r="B31" t="str">
        <f>IF(AND(ROUND(C29,4)=ROUND(F29,4),ROUND(F29,4)=ROUND(I29,4))=TRUE,"Consistent","Inconsistent")</f>
        <v>Consistent</v>
      </c>
    </row>
    <row r="32" spans="1:9" x14ac:dyDescent="0.25">
      <c r="A32" s="2" t="s">
        <v>44</v>
      </c>
    </row>
    <row r="33" spans="1:8" x14ac:dyDescent="0.25">
      <c r="A33" t="s">
        <v>45</v>
      </c>
      <c r="B33">
        <f>I24-G24</f>
        <v>-0.11559999999998638</v>
      </c>
      <c r="D33" t="s">
        <v>46</v>
      </c>
      <c r="E33">
        <v>11</v>
      </c>
      <c r="G33" t="s">
        <v>47</v>
      </c>
      <c r="H33">
        <v>237.20400000000001</v>
      </c>
    </row>
    <row r="34" spans="1:8" x14ac:dyDescent="0.25">
      <c r="A34" t="s">
        <v>48</v>
      </c>
      <c r="B34">
        <f>(H33+H34) / 1000</f>
        <v>0.47381399999999996</v>
      </c>
      <c r="D34" t="s">
        <v>49</v>
      </c>
      <c r="E34">
        <f>B33/E33</f>
        <v>-1.050909090908967E-2</v>
      </c>
      <c r="G34" t="s">
        <v>50</v>
      </c>
      <c r="H34">
        <v>236.60999999999999</v>
      </c>
    </row>
    <row r="36" spans="1:8" x14ac:dyDescent="0.25">
      <c r="A36" t="s">
        <v>51</v>
      </c>
      <c r="B36" t="s">
        <v>52</v>
      </c>
      <c r="C36" t="s">
        <v>53</v>
      </c>
    </row>
    <row r="37" spans="1:8" x14ac:dyDescent="0.25">
      <c r="A37" t="s">
        <v>54</v>
      </c>
      <c r="B37">
        <f>0.005*SQRT(B34)</f>
        <v>3.4417074251016744E-3</v>
      </c>
      <c r="C37" t="str">
        <f>IF(ABS(B33)&lt;=B37,"Pass!","Fail!")</f>
        <v>Fail!</v>
      </c>
    </row>
    <row r="38" spans="1:8" x14ac:dyDescent="0.25">
      <c r="A38" t="s">
        <v>55</v>
      </c>
      <c r="B38">
        <f>0.01*SQRT(B34)</f>
        <v>6.8834148502033487E-3</v>
      </c>
      <c r="C38" t="str">
        <f>IF(ABS(B33)&lt;=B38,"Pass!","Fail!")</f>
        <v>Fail!</v>
      </c>
    </row>
    <row r="39" spans="1:8" x14ac:dyDescent="0.25">
      <c r="A39" t="s">
        <v>56</v>
      </c>
      <c r="B39">
        <f>0.003*SQRT(E33)</f>
        <v>9.9498743710661995E-3</v>
      </c>
      <c r="C39" t="str">
        <f>IF(ABS(B33)&lt;=B39,"Pass!","Fail!")</f>
        <v>Fail!</v>
      </c>
    </row>
    <row r="40" spans="1:8" x14ac:dyDescent="0.25">
      <c r="A40" s="2" t="s">
        <v>44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R. Patton</dc:creator>
  <cp:lastModifiedBy>Jason R. Patton</cp:lastModifiedBy>
  <dcterms:created xsi:type="dcterms:W3CDTF">2016-08-01T17:12:30Z</dcterms:created>
  <dcterms:modified xsi:type="dcterms:W3CDTF">2016-08-01T17:13:30Z</dcterms:modified>
</cp:coreProperties>
</file>