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CG\projects\humboldt_bay_vertical_control\DATA\survey_data\trinidad_20160801\"/>
    </mc:Choice>
  </mc:AlternateContent>
  <bookViews>
    <workbookView xWindow="0" yWindow="0" windowWidth="13515" windowHeight="9960"/>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0" i="1" l="1"/>
  <c r="M20" i="1"/>
  <c r="B29" i="1"/>
  <c r="B35" i="1"/>
  <c r="B34" i="1"/>
  <c r="B33" i="1"/>
  <c r="B30" i="1"/>
  <c r="B27" i="1"/>
  <c r="I25" i="1"/>
  <c r="F25" i="1"/>
  <c r="C25" i="1"/>
  <c r="I24" i="1"/>
  <c r="F24" i="1"/>
  <c r="C24" i="1"/>
  <c r="I23" i="1"/>
  <c r="F23" i="1"/>
  <c r="C23" i="1"/>
  <c r="G20" i="1"/>
  <c r="F20" i="1"/>
  <c r="E20" i="1"/>
  <c r="G19" i="1"/>
  <c r="F19" i="1"/>
  <c r="E19" i="1"/>
  <c r="G18" i="1"/>
  <c r="F18" i="1"/>
  <c r="E18" i="1"/>
  <c r="G17" i="1"/>
  <c r="F17" i="1"/>
  <c r="E17" i="1"/>
  <c r="G16" i="1"/>
  <c r="F16" i="1"/>
  <c r="E16" i="1"/>
  <c r="G15" i="1"/>
  <c r="F15" i="1"/>
  <c r="E15" i="1"/>
  <c r="G14" i="1"/>
  <c r="F14" i="1"/>
  <c r="E14" i="1"/>
  <c r="G13" i="1"/>
  <c r="F13" i="1"/>
  <c r="E13" i="1"/>
  <c r="G12" i="1"/>
  <c r="F12" i="1"/>
  <c r="E12" i="1"/>
  <c r="G11" i="1"/>
  <c r="F11" i="1"/>
  <c r="E11" i="1"/>
  <c r="G10" i="1"/>
  <c r="F10" i="1"/>
  <c r="E10" i="1"/>
  <c r="G9" i="1"/>
  <c r="F9" i="1"/>
  <c r="E9" i="1"/>
  <c r="G8" i="1"/>
  <c r="F8" i="1"/>
  <c r="E8" i="1"/>
  <c r="G7" i="1"/>
  <c r="C35" i="1"/>
  <c r="C34" i="1"/>
  <c r="C33" i="1"/>
  <c r="E30" i="1" l="1"/>
  <c r="H11" i="1" l="1"/>
  <c r="I11" i="1" s="1"/>
  <c r="H15" i="1"/>
  <c r="I15" i="1" s="1"/>
  <c r="H13" i="1"/>
  <c r="I13" i="1" s="1"/>
  <c r="H9" i="1"/>
  <c r="I9" i="1" s="1"/>
  <c r="H8" i="1"/>
  <c r="I8" i="1" s="1"/>
  <c r="H10" i="1"/>
  <c r="I10" i="1" s="1"/>
  <c r="H16" i="1"/>
  <c r="I16" i="1" s="1"/>
  <c r="H20" i="1"/>
  <c r="H14" i="1"/>
  <c r="I14" i="1" s="1"/>
  <c r="H17" i="1"/>
  <c r="I17" i="1" s="1"/>
  <c r="H19" i="1"/>
  <c r="I19" i="1" s="1"/>
  <c r="H18" i="1"/>
  <c r="I18" i="1" s="1"/>
  <c r="H12" i="1"/>
  <c r="I12" i="1" s="1"/>
</calcChain>
</file>

<file path=xl/sharedStrings.xml><?xml version="1.0" encoding="utf-8"?>
<sst xmlns="http://schemas.openxmlformats.org/spreadsheetml/2006/main" count="79" uniqueCount="65">
  <si>
    <t>Project:</t>
  </si>
  <si>
    <t>TR0801</t>
  </si>
  <si>
    <t>Date:</t>
  </si>
  <si>
    <t>1-August-2016</t>
  </si>
  <si>
    <t>Line:</t>
  </si>
  <si>
    <t>TR02</t>
  </si>
  <si>
    <t>Surveyor:</t>
  </si>
  <si>
    <t>Jason R. Patton</t>
  </si>
  <si>
    <t>NAME</t>
  </si>
  <si>
    <t>B/S</t>
  </si>
  <si>
    <t>I/S</t>
  </si>
  <si>
    <t>F/S</t>
  </si>
  <si>
    <t>RISE</t>
  </si>
  <si>
    <t>FALL</t>
  </si>
  <si>
    <t>R/L</t>
  </si>
  <si>
    <t>CORRN</t>
  </si>
  <si>
    <t>FINAL</t>
  </si>
  <si>
    <t>DESC</t>
  </si>
  <si>
    <t>BM01</t>
  </si>
  <si>
    <t>TP01</t>
  </si>
  <si>
    <t>TP02</t>
  </si>
  <si>
    <t>TP03</t>
  </si>
  <si>
    <t>TP04</t>
  </si>
  <si>
    <t>TP05</t>
  </si>
  <si>
    <t>TP06</t>
  </si>
  <si>
    <t>TP07</t>
  </si>
  <si>
    <t>TP08</t>
  </si>
  <si>
    <t>TP09</t>
  </si>
  <si>
    <t>IN01</t>
  </si>
  <si>
    <t>TP10</t>
  </si>
  <si>
    <t>TP11</t>
  </si>
  <si>
    <t>---------------------------------------------------------------------------------------------------------------------------------------------------------------</t>
  </si>
  <si>
    <t>CHECKS:</t>
  </si>
  <si>
    <t>Total B/S</t>
  </si>
  <si>
    <t>Total Rise</t>
  </si>
  <si>
    <t>Start Ht</t>
  </si>
  <si>
    <t>Total F/S</t>
  </si>
  <si>
    <t>Total Fall</t>
  </si>
  <si>
    <t>R/L Ht</t>
  </si>
  <si>
    <t>RESULT:</t>
  </si>
  <si>
    <t>================================================================================</t>
  </si>
  <si>
    <t>Miscl:</t>
  </si>
  <si>
    <t>Stations:</t>
  </si>
  <si>
    <t>B/S Dist:</t>
  </si>
  <si>
    <t>Dist (km):</t>
  </si>
  <si>
    <t>Corrn:</t>
  </si>
  <si>
    <t>F/S Dist:</t>
  </si>
  <si>
    <t>CLASS</t>
  </si>
  <si>
    <t>LIMIT</t>
  </si>
  <si>
    <t>RESULT</t>
  </si>
  <si>
    <t>Precise:</t>
  </si>
  <si>
    <t>Ordinary</t>
  </si>
  <si>
    <t>TMH11:</t>
  </si>
  <si>
    <t>Units:</t>
  </si>
  <si>
    <t>Meters</t>
  </si>
  <si>
    <t>Notes</t>
  </si>
  <si>
    <t>This survey is from the tidal benchmark to a bolt near the tide gage and back again.</t>
  </si>
  <si>
    <t>Turning Point</t>
  </si>
  <si>
    <t>National Ocean Survey, brass benchmark in concrete base of boat hoist on the southern side of the west end of the boat ramp.</t>
  </si>
  <si>
    <t>Benchmark (NOS) PID 9059L 1979</t>
  </si>
  <si>
    <t>Benchmark (NOS) PID 9059M 1981</t>
  </si>
  <si>
    <t>National Ocean Survey, brass benchmark in bedded chert boulder at the base of the cliff to the east of the road that leads the beach due east of the boat ramp.</t>
  </si>
  <si>
    <t>Elevation</t>
  </si>
  <si>
    <t>NAVD88</t>
  </si>
  <si>
    <t>Top of westernmost bolt at corner of blue lift due east of the shed building. Also, BM02 from line TR03.</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</si>
</sst>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b/>
      <sz val="11"/>
      <color rgb="FFFF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8">
    <xf numFmtId="0" fontId="0" fillId="0" borderId="0" xfId="0"/>
    <xf numFmtId="0" fontId="1" fillId="0" borderId="0" xfId="0" applyFont="1"/>
    <xf numFmtId="0" fontId="0" fillId="0" borderId="0" xfId="0" quotePrefix="1"/>
    <xf numFmtId="0" fontId="1" fillId="0" borderId="0" xfId="0" applyFont="1"/>
    <xf numFmtId="0" fontId="2" fillId="0" borderId="0" xfId="0" applyFont="1"/>
    <xf numFmtId="0" fontId="0" fillId="0" borderId="0" xfId="0"/>
    <xf numFmtId="0" fontId="1" fillId="0" borderId="0" xfId="0" applyFont="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abSelected="1" workbookViewId="0">
      <pane ySplit="6" topLeftCell="A7" activePane="bottomLeft" state="frozen"/>
      <selection pane="bottomLeft" activeCell="J14" sqref="J14"/>
    </sheetView>
  </sheetViews>
  <sheetFormatPr defaultRowHeight="15" x14ac:dyDescent="0.25"/>
  <cols>
    <col min="1" max="1" width="11.7109375" customWidth="1"/>
    <col min="10" max="11" width="37.140625" style="7" customWidth="1"/>
  </cols>
  <sheetData>
    <row r="1" spans="1:14" ht="45" x14ac:dyDescent="0.25">
      <c r="A1" s="1" t="s">
        <v>0</v>
      </c>
      <c r="B1" s="1" t="s">
        <v>1</v>
      </c>
      <c r="J1" s="6" t="s">
        <v>56</v>
      </c>
    </row>
    <row r="2" spans="1:14" x14ac:dyDescent="0.25">
      <c r="A2" s="1" t="s">
        <v>2</v>
      </c>
      <c r="B2" s="1" t="s">
        <v>3</v>
      </c>
    </row>
    <row r="3" spans="1:14" x14ac:dyDescent="0.25">
      <c r="A3" s="1" t="s">
        <v>4</v>
      </c>
      <c r="B3" s="1" t="s">
        <v>5</v>
      </c>
    </row>
    <row r="4" spans="1:14" x14ac:dyDescent="0.25">
      <c r="A4" s="1" t="s">
        <v>6</v>
      </c>
      <c r="B4" s="1" t="s">
        <v>7</v>
      </c>
    </row>
    <row r="5" spans="1:14" x14ac:dyDescent="0.25">
      <c r="A5" s="3" t="s">
        <v>53</v>
      </c>
      <c r="B5" s="3" t="s">
        <v>54</v>
      </c>
      <c r="M5" t="s">
        <v>63</v>
      </c>
    </row>
    <row r="6" spans="1:14" x14ac:dyDescent="0.25">
      <c r="A6" t="s">
        <v>8</v>
      </c>
      <c r="B6" t="s">
        <v>9</v>
      </c>
      <c r="C6" t="s">
        <v>10</v>
      </c>
      <c r="D6" t="s">
        <v>11</v>
      </c>
      <c r="E6" t="s">
        <v>12</v>
      </c>
      <c r="F6" t="s">
        <v>13</v>
      </c>
      <c r="G6" t="s">
        <v>14</v>
      </c>
      <c r="H6" t="s">
        <v>15</v>
      </c>
      <c r="I6" t="s">
        <v>16</v>
      </c>
      <c r="J6" s="7" t="s">
        <v>17</v>
      </c>
      <c r="K6" s="7" t="s">
        <v>55</v>
      </c>
      <c r="M6" t="s">
        <v>62</v>
      </c>
    </row>
    <row r="7" spans="1:14" ht="75" x14ac:dyDescent="0.25">
      <c r="A7" t="s">
        <v>18</v>
      </c>
      <c r="B7">
        <v>1.7772600000000001</v>
      </c>
      <c r="G7">
        <f>I7</f>
        <v>100</v>
      </c>
      <c r="I7">
        <v>100</v>
      </c>
      <c r="J7" s="7" t="s">
        <v>61</v>
      </c>
      <c r="K7" s="7" t="s">
        <v>59</v>
      </c>
      <c r="M7">
        <v>14.59</v>
      </c>
      <c r="N7">
        <v>8.2390000000000008</v>
      </c>
    </row>
    <row r="8" spans="1:14" x14ac:dyDescent="0.25">
      <c r="A8" t="s">
        <v>19</v>
      </c>
      <c r="B8">
        <v>2.55626</v>
      </c>
      <c r="D8">
        <v>6.3109999999999999E-2</v>
      </c>
      <c r="E8">
        <f t="shared" ref="E8:E20" si="0">IF(IF($B7&lt;&gt;"",$B7-IF($D8&lt;&gt;"",$D8,$C8),$C7-IF($D8&lt;&gt;"",$D8,$C8))&gt;=0,IF($B7&lt;&gt;"",$B7-IF($D8&lt;&gt;"",$D8,$C8),$C7-IF($D8&lt;&gt;"",$D8,$C8)),"")</f>
        <v>1.7141500000000001</v>
      </c>
      <c r="F8" t="str">
        <f t="shared" ref="F8:F20" si="1">IF(IF($B7&lt;&gt;"",$B7-IF($D8&lt;&gt;"",$D8,$C8),$C7-IF($D8&lt;&gt;"",$D8,$C8))&lt;0,-(IF($B7&lt;&gt;"",$B7-IF($D8&lt;&gt;"",$D8,$C8),$C7-IF($D8&lt;&gt;"",$D8,$C8))),"")</f>
        <v/>
      </c>
      <c r="G8">
        <f t="shared" ref="G8:G20" si="2">G7+IF(E8&lt;&gt;"",E8,-F8)</f>
        <v>101.71415</v>
      </c>
      <c r="H8">
        <f>$E$30*2</f>
        <v>-7.8333333334512645E-5</v>
      </c>
      <c r="I8">
        <f t="shared" ref="I8:I19" si="3">G8+H8</f>
        <v>101.71407166666667</v>
      </c>
      <c r="K8" s="7" t="s">
        <v>57</v>
      </c>
    </row>
    <row r="9" spans="1:14" x14ac:dyDescent="0.25">
      <c r="A9" t="s">
        <v>20</v>
      </c>
      <c r="B9">
        <v>1.5810900000000001</v>
      </c>
      <c r="D9">
        <v>0.97055999999999998</v>
      </c>
      <c r="E9">
        <f t="shared" si="0"/>
        <v>1.5857000000000001</v>
      </c>
      <c r="F9" t="str">
        <f t="shared" si="1"/>
        <v/>
      </c>
      <c r="G9">
        <f t="shared" si="2"/>
        <v>103.29985000000001</v>
      </c>
      <c r="H9">
        <f>$E$30*3</f>
        <v>-1.1750000000176897E-4</v>
      </c>
      <c r="I9">
        <f t="shared" si="3"/>
        <v>103.2997325</v>
      </c>
      <c r="K9" s="7" t="s">
        <v>57</v>
      </c>
    </row>
    <row r="10" spans="1:14" x14ac:dyDescent="0.25">
      <c r="A10" t="s">
        <v>21</v>
      </c>
      <c r="B10">
        <v>1.6427</v>
      </c>
      <c r="D10">
        <v>1.6824600000000001</v>
      </c>
      <c r="E10" t="str">
        <f t="shared" si="0"/>
        <v/>
      </c>
      <c r="F10">
        <f t="shared" si="1"/>
        <v>0.10136999999999996</v>
      </c>
      <c r="G10">
        <f t="shared" si="2"/>
        <v>103.19848</v>
      </c>
      <c r="H10">
        <f>$E$30*4</f>
        <v>-1.5666666666902529E-4</v>
      </c>
      <c r="I10">
        <f t="shared" si="3"/>
        <v>103.19832333333333</v>
      </c>
      <c r="K10" s="7" t="s">
        <v>57</v>
      </c>
    </row>
    <row r="11" spans="1:14" x14ac:dyDescent="0.25">
      <c r="A11" t="s">
        <v>22</v>
      </c>
      <c r="B11">
        <v>1.58945</v>
      </c>
      <c r="D11">
        <v>1.6025499999999999</v>
      </c>
      <c r="E11">
        <f t="shared" si="0"/>
        <v>4.015000000000013E-2</v>
      </c>
      <c r="F11" t="str">
        <f t="shared" si="1"/>
        <v/>
      </c>
      <c r="G11">
        <f t="shared" si="2"/>
        <v>103.23863</v>
      </c>
      <c r="H11">
        <f>$E$30*5</f>
        <v>-1.9583333333628161E-4</v>
      </c>
      <c r="I11">
        <f t="shared" si="3"/>
        <v>103.23843416666666</v>
      </c>
      <c r="K11" s="7" t="s">
        <v>57</v>
      </c>
    </row>
    <row r="12" spans="1:14" x14ac:dyDescent="0.25">
      <c r="A12" t="s">
        <v>23</v>
      </c>
      <c r="B12">
        <v>1.57894</v>
      </c>
      <c r="D12">
        <v>1.63164</v>
      </c>
      <c r="E12" t="str">
        <f t="shared" si="0"/>
        <v/>
      </c>
      <c r="F12">
        <f t="shared" si="1"/>
        <v>4.218999999999995E-2</v>
      </c>
      <c r="G12">
        <f t="shared" si="2"/>
        <v>103.19644</v>
      </c>
      <c r="H12">
        <f>$E$30*6</f>
        <v>-2.3500000000353793E-4</v>
      </c>
      <c r="I12">
        <f t="shared" si="3"/>
        <v>103.19620499999999</v>
      </c>
      <c r="K12" s="7" t="s">
        <v>57</v>
      </c>
    </row>
    <row r="13" spans="1:14" ht="45" x14ac:dyDescent="0.25">
      <c r="A13" t="s">
        <v>24</v>
      </c>
      <c r="B13">
        <v>1.27006</v>
      </c>
      <c r="D13">
        <v>1.27033</v>
      </c>
      <c r="E13">
        <f t="shared" si="0"/>
        <v>0.30861000000000005</v>
      </c>
      <c r="F13" t="str">
        <f t="shared" si="1"/>
        <v/>
      </c>
      <c r="G13">
        <f t="shared" si="2"/>
        <v>103.50505</v>
      </c>
      <c r="H13">
        <f>$E$30*7</f>
        <v>-2.7416666667079426E-4</v>
      </c>
      <c r="I13">
        <f t="shared" si="3"/>
        <v>103.50477583333333</v>
      </c>
      <c r="J13" s="7" t="s">
        <v>64</v>
      </c>
      <c r="K13" s="7" t="s">
        <v>57</v>
      </c>
    </row>
    <row r="14" spans="1:14" x14ac:dyDescent="0.25">
      <c r="A14" t="s">
        <v>25</v>
      </c>
      <c r="B14">
        <v>1.6301000000000001</v>
      </c>
      <c r="D14">
        <v>1.5677000000000001</v>
      </c>
      <c r="E14" t="str">
        <f t="shared" si="0"/>
        <v/>
      </c>
      <c r="F14">
        <f t="shared" si="1"/>
        <v>0.29764000000000013</v>
      </c>
      <c r="G14">
        <f t="shared" si="2"/>
        <v>103.20741</v>
      </c>
      <c r="H14">
        <f>$E$30*8</f>
        <v>-3.1333333333805058E-4</v>
      </c>
      <c r="I14">
        <f t="shared" si="3"/>
        <v>103.20709666666666</v>
      </c>
      <c r="K14" s="7" t="s">
        <v>57</v>
      </c>
    </row>
    <row r="15" spans="1:14" x14ac:dyDescent="0.25">
      <c r="A15" t="s">
        <v>26</v>
      </c>
      <c r="B15">
        <v>1.62801</v>
      </c>
      <c r="D15">
        <v>1.61178</v>
      </c>
      <c r="E15">
        <f t="shared" si="0"/>
        <v>1.8320000000000114E-2</v>
      </c>
      <c r="F15" t="str">
        <f t="shared" si="1"/>
        <v/>
      </c>
      <c r="G15">
        <f t="shared" si="2"/>
        <v>103.22573</v>
      </c>
      <c r="H15">
        <f>$E$30*9</f>
        <v>-3.525000000053069E-4</v>
      </c>
      <c r="I15">
        <f t="shared" si="3"/>
        <v>103.22537749999999</v>
      </c>
      <c r="K15" s="7" t="s">
        <v>57</v>
      </c>
    </row>
    <row r="16" spans="1:14" x14ac:dyDescent="0.25">
      <c r="A16" t="s">
        <v>27</v>
      </c>
      <c r="B16">
        <v>1.68974</v>
      </c>
      <c r="D16">
        <v>1.64442</v>
      </c>
      <c r="E16" t="str">
        <f t="shared" si="0"/>
        <v/>
      </c>
      <c r="F16">
        <f t="shared" si="1"/>
        <v>1.6410000000000036E-2</v>
      </c>
      <c r="G16">
        <f t="shared" si="2"/>
        <v>103.20932000000001</v>
      </c>
      <c r="H16">
        <f>$E$30*10</f>
        <v>-3.9166666667256322E-4</v>
      </c>
      <c r="I16">
        <f t="shared" si="3"/>
        <v>103.20892833333333</v>
      </c>
      <c r="K16" s="7" t="s">
        <v>57</v>
      </c>
    </row>
    <row r="17" spans="1:14" ht="60" x14ac:dyDescent="0.25">
      <c r="A17" t="s">
        <v>28</v>
      </c>
      <c r="C17">
        <v>1.5928800000000001</v>
      </c>
      <c r="E17">
        <f t="shared" si="0"/>
        <v>9.6859999999999946E-2</v>
      </c>
      <c r="F17" t="str">
        <f t="shared" si="1"/>
        <v/>
      </c>
      <c r="G17">
        <f t="shared" si="2"/>
        <v>103.30618000000001</v>
      </c>
      <c r="H17">
        <f>$E$30*10</f>
        <v>-3.9166666667256322E-4</v>
      </c>
      <c r="I17">
        <f t="shared" si="3"/>
        <v>103.30578833333334</v>
      </c>
      <c r="J17" s="7" t="s">
        <v>58</v>
      </c>
      <c r="K17" s="7" t="s">
        <v>60</v>
      </c>
      <c r="M17">
        <v>25.456</v>
      </c>
      <c r="N17">
        <v>19.088999999999999</v>
      </c>
    </row>
    <row r="18" spans="1:14" x14ac:dyDescent="0.25">
      <c r="A18" t="s">
        <v>29</v>
      </c>
      <c r="B18">
        <v>1.02077</v>
      </c>
      <c r="D18">
        <v>1.60623</v>
      </c>
      <c r="E18" t="str">
        <f t="shared" si="0"/>
        <v/>
      </c>
      <c r="F18">
        <f t="shared" si="1"/>
        <v>1.3349999999999973E-2</v>
      </c>
      <c r="G18">
        <f t="shared" si="2"/>
        <v>103.29283000000001</v>
      </c>
      <c r="H18">
        <f>$E$30*11</f>
        <v>-4.3083333333981955E-4</v>
      </c>
      <c r="I18">
        <f t="shared" si="3"/>
        <v>103.29239916666667</v>
      </c>
      <c r="K18" s="7" t="s">
        <v>57</v>
      </c>
    </row>
    <row r="19" spans="1:14" x14ac:dyDescent="0.25">
      <c r="A19" t="s">
        <v>30</v>
      </c>
      <c r="B19">
        <v>5.3019999999999998E-2</v>
      </c>
      <c r="D19">
        <v>2.6027100000000001</v>
      </c>
      <c r="E19" t="str">
        <f t="shared" si="0"/>
        <v/>
      </c>
      <c r="F19">
        <f t="shared" si="1"/>
        <v>1.5819400000000001</v>
      </c>
      <c r="G19">
        <f t="shared" si="2"/>
        <v>101.71089000000001</v>
      </c>
      <c r="H19">
        <f>$E$30*12</f>
        <v>-4.7000000000707587E-4</v>
      </c>
      <c r="I19">
        <f t="shared" si="3"/>
        <v>101.71042</v>
      </c>
      <c r="K19" s="7" t="s">
        <v>57</v>
      </c>
    </row>
    <row r="20" spans="1:14" ht="75" x14ac:dyDescent="0.25">
      <c r="A20" t="s">
        <v>18</v>
      </c>
      <c r="D20">
        <v>1.7634399999999999</v>
      </c>
      <c r="E20" t="str">
        <f t="shared" si="0"/>
        <v/>
      </c>
      <c r="F20">
        <f t="shared" si="1"/>
        <v>1.7104199999999998</v>
      </c>
      <c r="G20">
        <f t="shared" si="2"/>
        <v>100.00047000000001</v>
      </c>
      <c r="H20">
        <f>$E$30*12</f>
        <v>-4.7000000000707587E-4</v>
      </c>
      <c r="I20">
        <v>100</v>
      </c>
      <c r="J20" s="7" t="s">
        <v>61</v>
      </c>
      <c r="K20" s="7" t="s">
        <v>59</v>
      </c>
      <c r="M20">
        <f>M7</f>
        <v>14.59</v>
      </c>
      <c r="N20" s="5">
        <f>N7</f>
        <v>8.2390000000000008</v>
      </c>
    </row>
    <row r="22" spans="1:14" x14ac:dyDescent="0.25">
      <c r="A22" s="2" t="s">
        <v>31</v>
      </c>
    </row>
    <row r="23" spans="1:14" x14ac:dyDescent="0.25">
      <c r="A23" t="s">
        <v>32</v>
      </c>
      <c r="B23" t="s">
        <v>33</v>
      </c>
      <c r="C23">
        <f>SUM(B6:B20)</f>
        <v>18.017399999999995</v>
      </c>
      <c r="E23" t="s">
        <v>34</v>
      </c>
      <c r="F23">
        <f>SUM(E6:E20)</f>
        <v>3.7637900000000006</v>
      </c>
      <c r="H23" t="s">
        <v>35</v>
      </c>
      <c r="I23">
        <f>I7</f>
        <v>100</v>
      </c>
    </row>
    <row r="24" spans="1:14" x14ac:dyDescent="0.25">
      <c r="B24" t="s">
        <v>36</v>
      </c>
      <c r="C24">
        <f>SUM(D6:D20)</f>
        <v>18.016929999999999</v>
      </c>
      <c r="E24" t="s">
        <v>37</v>
      </c>
      <c r="F24">
        <f>SUM(F6:F20)</f>
        <v>3.7633200000000002</v>
      </c>
      <c r="H24" t="s">
        <v>38</v>
      </c>
      <c r="I24">
        <f>G20</f>
        <v>100.00047000000001</v>
      </c>
    </row>
    <row r="25" spans="1:14" x14ac:dyDescent="0.25">
      <c r="C25">
        <f>C23-C24</f>
        <v>4.6999999999641773E-4</v>
      </c>
      <c r="F25">
        <f>F23-F24</f>
        <v>4.7000000000041453E-4</v>
      </c>
      <c r="I25">
        <f>I24-I23</f>
        <v>4.7000000000707587E-4</v>
      </c>
    </row>
    <row r="27" spans="1:14" x14ac:dyDescent="0.25">
      <c r="A27" t="s">
        <v>39</v>
      </c>
      <c r="B27" t="str">
        <f>IF(AND(ROUND(C25,4)=ROUND(F25,4),ROUND(F25,4)=ROUND(I25,4))=TRUE,"Consistent","Inconsistent")</f>
        <v>Consistent</v>
      </c>
    </row>
    <row r="28" spans="1:14" x14ac:dyDescent="0.25">
      <c r="A28" s="2" t="s">
        <v>40</v>
      </c>
    </row>
    <row r="29" spans="1:14" x14ac:dyDescent="0.25">
      <c r="A29" t="s">
        <v>41</v>
      </c>
      <c r="B29" s="4">
        <f>I20-G20</f>
        <v>-4.7000000000707587E-4</v>
      </c>
      <c r="D29" t="s">
        <v>42</v>
      </c>
      <c r="E29">
        <v>12</v>
      </c>
      <c r="G29" t="s">
        <v>43</v>
      </c>
      <c r="H29">
        <v>278.01400000000001</v>
      </c>
    </row>
    <row r="30" spans="1:14" x14ac:dyDescent="0.25">
      <c r="A30" t="s">
        <v>44</v>
      </c>
      <c r="B30">
        <f>(H29+H30) / 1000</f>
        <v>0.55553700000000006</v>
      </c>
      <c r="D30" t="s">
        <v>45</v>
      </c>
      <c r="E30">
        <f>B29/E29</f>
        <v>-3.9166666667256322E-5</v>
      </c>
      <c r="G30" t="s">
        <v>46</v>
      </c>
      <c r="H30">
        <v>277.52299999999997</v>
      </c>
    </row>
    <row r="32" spans="1:14" x14ac:dyDescent="0.25">
      <c r="A32" t="s">
        <v>47</v>
      </c>
      <c r="B32" t="s">
        <v>48</v>
      </c>
      <c r="C32" t="s">
        <v>49</v>
      </c>
    </row>
    <row r="33" spans="1:3" x14ac:dyDescent="0.25">
      <c r="A33" t="s">
        <v>50</v>
      </c>
      <c r="B33">
        <f>0.005*SQRT(B30)</f>
        <v>3.7267177247545863E-3</v>
      </c>
      <c r="C33" t="str">
        <f>IF(ABS(B29)&lt;=B33,"Pass!","Fail!")</f>
        <v>Pass!</v>
      </c>
    </row>
    <row r="34" spans="1:3" x14ac:dyDescent="0.25">
      <c r="A34" t="s">
        <v>51</v>
      </c>
      <c r="B34">
        <f>0.01*SQRT(B30)</f>
        <v>7.4534354495091725E-3</v>
      </c>
      <c r="C34" t="str">
        <f>IF(ABS(B29)&lt;=B34,"Pass!","Fail!")</f>
        <v>Pass!</v>
      </c>
    </row>
    <row r="35" spans="1:3" x14ac:dyDescent="0.25">
      <c r="A35" t="s">
        <v>52</v>
      </c>
      <c r="B35">
        <f>0.003*SQRT(E29)</f>
        <v>1.0392304845413263E-2</v>
      </c>
      <c r="C35" t="str">
        <f>IF(ABS(B29)&lt;=B35,"Pass!","Fail!")</f>
        <v>Pass!</v>
      </c>
    </row>
    <row r="36" spans="1:3" x14ac:dyDescent="0.25">
      <c r="A36" s="2" t="s">
        <v>40</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R. Patton</dc:creator>
  <cp:lastModifiedBy>Jason R. Patton</cp:lastModifiedBy>
  <dcterms:created xsi:type="dcterms:W3CDTF">2016-08-02T05:19:29Z</dcterms:created>
  <dcterms:modified xsi:type="dcterms:W3CDTF">2016-08-02T20:14:08Z</dcterms:modified>
</cp:coreProperties>
</file>